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15" windowWidth="19980" windowHeight="14955" activeTab="1"/>
  </bookViews>
  <sheets>
    <sheet name="Directions" sheetId="1" r:id="rId1"/>
    <sheet name="Sheet2" sheetId="2" r:id="rId2"/>
    <sheet name="340 Modbus" sheetId="3" r:id="rId3"/>
    <sheet name="Function code 4" sheetId="4" r:id="rId4"/>
  </sheets>
  <definedNames/>
  <calcPr fullCalcOnLoad="1"/>
</workbook>
</file>

<file path=xl/sharedStrings.xml><?xml version="1.0" encoding="utf-8"?>
<sst xmlns="http://schemas.openxmlformats.org/spreadsheetml/2006/main" count="79" uniqueCount="71">
  <si>
    <t>Directions For use:</t>
  </si>
  <si>
    <t>1. This spreadsheet was written using Microsoft Excel 97</t>
  </si>
  <si>
    <t>2. Do not use preceding Y, X, C, etc... for PLC registers.  Just use the register/coil number</t>
  </si>
  <si>
    <t>4. For the sheet to work correctly, enable: Tools &gt;&gt; Add Ins &gt;&gt; Analysis Toolpak (should be checked)</t>
  </si>
  <si>
    <t>Coils</t>
  </si>
  <si>
    <t>REMEMBER, NO EIGHTS OR NINES!!!</t>
  </si>
  <si>
    <t>Koyo PLC</t>
  </si>
  <si>
    <t>Modbus</t>
  </si>
  <si>
    <t>Global Outputs GY0 - GY3777</t>
  </si>
  <si>
    <t>Coil 1 - 2048</t>
  </si>
  <si>
    <t>Global Outputs - GY</t>
  </si>
  <si>
    <t>Outputs - Y0 - Y1777</t>
  </si>
  <si>
    <t>Coil 2049 - 3072</t>
  </si>
  <si>
    <t>Outputs - Y</t>
  </si>
  <si>
    <t>Control Relay - C0 - C3777</t>
  </si>
  <si>
    <t>Coil 3073 - 5120</t>
  </si>
  <si>
    <t>Control Relay - C</t>
  </si>
  <si>
    <t>Stage - S0 - S1777</t>
  </si>
  <si>
    <t>Coil 5121 - 6144</t>
  </si>
  <si>
    <t>Stage - S</t>
  </si>
  <si>
    <t>Timer - T0 - T377</t>
  </si>
  <si>
    <t>Coil 6145 - 6400</t>
  </si>
  <si>
    <t>Timer - T</t>
  </si>
  <si>
    <t>Counter - CT0 - CT377</t>
  </si>
  <si>
    <t xml:space="preserve"> Coil 6401 - 6656</t>
  </si>
  <si>
    <t>Counter - CT</t>
  </si>
  <si>
    <t>Inputs</t>
  </si>
  <si>
    <t>Global Inputs GX0 - GX3777</t>
  </si>
  <si>
    <t>Inputs 10001 - 12048</t>
  </si>
  <si>
    <t>Global Inputs - GX</t>
  </si>
  <si>
    <t>Inputs X0 - X1777</t>
  </si>
  <si>
    <t>Inputs 12049 - 13072</t>
  </si>
  <si>
    <t>Inputs - X</t>
  </si>
  <si>
    <t>Special Register SP0 - SP777</t>
  </si>
  <si>
    <t>Inputs 13073 - 13584</t>
  </si>
  <si>
    <t>Special Register - SP</t>
  </si>
  <si>
    <t>Registers</t>
  </si>
  <si>
    <t>PLC</t>
  </si>
  <si>
    <t>Holding Registers</t>
  </si>
  <si>
    <t>Input Registers</t>
  </si>
  <si>
    <t>V Memory</t>
  </si>
  <si>
    <t>340 PLC</t>
  </si>
  <si>
    <t>Modbus Hex</t>
  </si>
  <si>
    <t>Modbus Decimal</t>
  </si>
  <si>
    <t>Modbus Coil Decimal</t>
  </si>
  <si>
    <t>Physical I/O 0 - 167</t>
  </si>
  <si>
    <t>0 - 119</t>
  </si>
  <si>
    <t>Control Relays 170 - 377</t>
  </si>
  <si>
    <t>120 - 255</t>
  </si>
  <si>
    <t>Shift Register Bits 400 - 577</t>
  </si>
  <si>
    <t>256 - 383</t>
  </si>
  <si>
    <t>Timer/Counter Status 600 - 677</t>
  </si>
  <si>
    <t>384 - 447</t>
  </si>
  <si>
    <t>Physical IO 700 - 777</t>
  </si>
  <si>
    <t>448 - 511</t>
  </si>
  <si>
    <t>Control Relays 1000 - 1077</t>
  </si>
  <si>
    <t>512 - 575</t>
  </si>
  <si>
    <t>User Registers 400 - 577</t>
  </si>
  <si>
    <t>64 - 127</t>
  </si>
  <si>
    <t>Timer/Counter Acc. 600 - 677</t>
  </si>
  <si>
    <t>0 - 63</t>
  </si>
  <si>
    <t>User Registers 700 - 777</t>
  </si>
  <si>
    <t>128 - 191</t>
  </si>
  <si>
    <r>
      <t>NOTE:</t>
    </r>
    <r>
      <rPr>
        <sz val="10"/>
        <rFont val="Arial"/>
        <family val="0"/>
      </rPr>
      <t xml:space="preserve">  This is not necessary when using the MRX or MWX instructions.  The MRX and MWX instructions allow you to specify the function code you want to use.</t>
    </r>
  </si>
  <si>
    <r>
      <t>NOTE:</t>
    </r>
    <r>
      <rPr>
        <sz val="10"/>
        <rFont val="Arial"/>
        <family val="0"/>
      </rPr>
      <t xml:space="preserve">  H2-ECOM100, H0-ECOM100, and H4-ECOM100 modules will also support Function 4 over ethernet.  The modules must have firmware versions equal to or greater than those listed below to support this.  The feature is used by requesting EVEN numbers of bytes for 40001+ addresses (function code 3) and ODD numbers of bytes for 30001+ addresses (function code 4).</t>
    </r>
  </si>
  <si>
    <t>H0-ECOM100 = 4.0.52</t>
  </si>
  <si>
    <t>H2-ECOM100 = 4.0.999</t>
  </si>
  <si>
    <t>H4-ECOM100 = 4.0.1049</t>
  </si>
  <si>
    <t>Please refer to the "Function Code 4" sheet for information on RX and WX to the 30001 (Input Registers) with our PLCs.</t>
  </si>
  <si>
    <t>3. Only the RED numbers should be changed</t>
  </si>
  <si>
    <t>Only the RED numbers should be changed.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</si>
</sst>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20"/>
      <name val="Arial"/>
      <family val="2"/>
    </font>
    <font>
      <b/>
      <sz val="20"/>
      <name val="Arial"/>
      <family val="2"/>
    </font>
    <font>
      <b/>
      <sz val="12"/>
      <color indexed="8"/>
      <name val="Arial"/>
      <family val="2"/>
    </font>
    <font>
      <b/>
      <i/>
      <u val="single"/>
      <sz val="10"/>
      <name val="Arial"/>
      <family val="2"/>
    </font>
    <font>
      <b/>
      <sz val="10"/>
      <name val="Arial"/>
      <family val="2"/>
    </font>
    <font>
      <b/>
      <sz val="10"/>
      <color indexed="8"/>
      <name val="Arial"/>
      <family val="2"/>
    </font>
    <font>
      <b/>
      <sz val="12"/>
      <name val="Arial"/>
      <family val="2"/>
    </font>
    <font>
      <sz val="8"/>
      <name val="Arial"/>
      <family val="0"/>
    </font>
    <font>
      <b/>
      <sz val="10"/>
      <color indexed="10"/>
      <name val="Arial"/>
      <family val="2"/>
    </font>
    <font>
      <sz val="10"/>
      <color indexed="10"/>
      <name val="Arial"/>
      <family val="2"/>
    </font>
    <font>
      <sz val="14"/>
      <color indexed="10"/>
      <name val="Arial"/>
      <family val="0"/>
    </font>
    <font>
      <b/>
      <sz val="12"/>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left" wrapText="1"/>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Border="1" applyAlignment="1">
      <alignment horizontal="center"/>
    </xf>
    <xf numFmtId="0" fontId="3" fillId="0" borderId="0" xfId="0" applyFont="1" applyBorder="1" applyAlignment="1">
      <alignment/>
    </xf>
    <xf numFmtId="0" fontId="4" fillId="0" borderId="0" xfId="0" applyFont="1" applyBorder="1" applyAlignment="1">
      <alignment wrapText="1"/>
    </xf>
    <xf numFmtId="0" fontId="0" fillId="0" borderId="0" xfId="0" applyFont="1" applyFill="1" applyBorder="1" applyAlignment="1">
      <alignment horizontal="center"/>
    </xf>
    <xf numFmtId="0" fontId="0" fillId="0" borderId="0" xfId="0" applyBorder="1" applyAlignment="1">
      <alignment horizontal="right"/>
    </xf>
    <xf numFmtId="0" fontId="0" fillId="0" borderId="0" xfId="0" applyBorder="1" applyAlignment="1" applyProtection="1">
      <alignment horizontal="center"/>
      <protection/>
    </xf>
    <xf numFmtId="49" fontId="0" fillId="0" borderId="0" xfId="0" applyNumberFormat="1" applyAlignment="1">
      <alignment horizontal="right"/>
    </xf>
    <xf numFmtId="0" fontId="0" fillId="0" borderId="0" xfId="0" applyBorder="1" applyAlignment="1">
      <alignment horizontal="left"/>
    </xf>
    <xf numFmtId="0" fontId="0" fillId="0" borderId="0" xfId="0" applyAlignment="1">
      <alignment horizontal="right"/>
    </xf>
    <xf numFmtId="0" fontId="0" fillId="0" borderId="0" xfId="0" applyBorder="1" applyAlignment="1">
      <alignment wrapText="1"/>
    </xf>
    <xf numFmtId="0" fontId="0" fillId="0" borderId="0" xfId="0" applyBorder="1" applyAlignment="1">
      <alignment horizontal="center" wrapText="1"/>
    </xf>
    <xf numFmtId="0" fontId="5" fillId="0" borderId="0" xfId="0" applyFont="1" applyBorder="1" applyAlignment="1">
      <alignment horizontal="center" wrapText="1"/>
    </xf>
    <xf numFmtId="0" fontId="0" fillId="0" borderId="0" xfId="0" applyBorder="1" applyAlignment="1">
      <alignment horizontal="right" wrapText="1"/>
    </xf>
    <xf numFmtId="0" fontId="0" fillId="0" borderId="0" xfId="0" applyBorder="1" applyAlignment="1" applyProtection="1">
      <alignment horizontal="center" wrapText="1"/>
      <protection/>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wrapText="1"/>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wrapText="1"/>
    </xf>
    <xf numFmtId="0" fontId="0" fillId="0" borderId="0" xfId="0" applyFont="1" applyAlignment="1">
      <alignment wrapText="1"/>
    </xf>
    <xf numFmtId="0" fontId="9" fillId="0" borderId="0" xfId="0" applyFont="1" applyFill="1" applyBorder="1" applyAlignment="1" applyProtection="1">
      <alignment horizontal="center"/>
      <protection locked="0"/>
    </xf>
    <xf numFmtId="0" fontId="10" fillId="0" borderId="0" xfId="0" applyFont="1" applyFill="1" applyBorder="1" applyAlignment="1">
      <alignment/>
    </xf>
    <xf numFmtId="0" fontId="10" fillId="0" borderId="0" xfId="0" applyFont="1" applyBorder="1" applyAlignment="1">
      <alignment horizontal="center"/>
    </xf>
    <xf numFmtId="0" fontId="9" fillId="0" borderId="0" xfId="0" applyFont="1" applyBorder="1" applyAlignment="1" applyProtection="1">
      <alignment horizontal="center"/>
      <protection locked="0"/>
    </xf>
    <xf numFmtId="0" fontId="9" fillId="0" borderId="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11" fillId="0" borderId="0" xfId="0" applyFont="1" applyAlignment="1">
      <alignment/>
    </xf>
    <xf numFmtId="0" fontId="12" fillId="0" borderId="0" xfId="0" applyFont="1" applyFill="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0</xdr:colOff>
      <xdr:row>35</xdr:row>
      <xdr:rowOff>66675</xdr:rowOff>
    </xdr:to>
    <xdr:pic>
      <xdr:nvPicPr>
        <xdr:cNvPr id="1" name="Picture 2"/>
        <xdr:cNvPicPr preferRelativeResize="1">
          <a:picLocks noChangeAspect="1"/>
        </xdr:cNvPicPr>
      </xdr:nvPicPr>
      <xdr:blipFill>
        <a:blip r:embed="rId1"/>
        <a:stretch>
          <a:fillRect/>
        </a:stretch>
      </xdr:blipFill>
      <xdr:spPr>
        <a:xfrm>
          <a:off x="190500" y="142875"/>
          <a:ext cx="7077075" cy="559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A9" sqref="A9"/>
    </sheetView>
  </sheetViews>
  <sheetFormatPr defaultColWidth="9.140625" defaultRowHeight="12.75"/>
  <cols>
    <col min="1" max="1" width="90.28125" style="0" customWidth="1"/>
  </cols>
  <sheetData>
    <row r="1" ht="25.5">
      <c r="A1" s="1"/>
    </row>
    <row r="2" ht="26.25">
      <c r="A2" s="2" t="s">
        <v>0</v>
      </c>
    </row>
    <row r="3" ht="51">
      <c r="A3" s="3" t="s">
        <v>1</v>
      </c>
    </row>
    <row r="4" ht="12.75">
      <c r="A4" s="4"/>
    </row>
    <row r="5" ht="51">
      <c r="A5" s="3" t="s">
        <v>2</v>
      </c>
    </row>
    <row r="7" ht="25.5">
      <c r="A7" s="3" t="s">
        <v>69</v>
      </c>
    </row>
    <row r="8" ht="12.75">
      <c r="A8" s="5"/>
    </row>
    <row r="9" ht="76.5">
      <c r="A9" s="3" t="s">
        <v>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9"/>
  <sheetViews>
    <sheetView tabSelected="1" workbookViewId="0" topLeftCell="A7">
      <selection activeCell="B19" sqref="B19"/>
    </sheetView>
  </sheetViews>
  <sheetFormatPr defaultColWidth="9.140625" defaultRowHeight="12.75"/>
  <cols>
    <col min="1" max="1" width="26.7109375" style="0" bestFit="1" customWidth="1"/>
    <col min="2" max="2" width="9.421875" style="0" bestFit="1" customWidth="1"/>
    <col min="3" max="3" width="9.28125" style="0" customWidth="1"/>
    <col min="4" max="4" width="9.8515625" style="0" customWidth="1"/>
    <col min="5" max="5" width="11.7109375" style="0" bestFit="1" customWidth="1"/>
    <col min="6" max="6" width="18.57421875" style="0" bestFit="1" customWidth="1"/>
    <col min="7" max="7" width="7.7109375" style="0" bestFit="1" customWidth="1"/>
    <col min="8" max="8" width="9.421875" style="0" bestFit="1" customWidth="1"/>
    <col min="9" max="9" width="19.140625" style="0" bestFit="1" customWidth="1"/>
  </cols>
  <sheetData>
    <row r="1" spans="1:8" ht="15.75">
      <c r="A1" s="6"/>
      <c r="B1" s="7"/>
      <c r="C1" s="7"/>
      <c r="D1" s="6"/>
      <c r="E1" s="8" t="s">
        <v>4</v>
      </c>
      <c r="F1" s="6"/>
      <c r="G1" s="7"/>
      <c r="H1" s="7"/>
    </row>
    <row r="2" spans="1:8" ht="25.5">
      <c r="A2" s="9" t="s">
        <v>5</v>
      </c>
      <c r="B2" s="10" t="s">
        <v>6</v>
      </c>
      <c r="C2" s="7" t="s">
        <v>7</v>
      </c>
      <c r="D2" s="6"/>
      <c r="E2" s="6"/>
      <c r="F2" s="6"/>
      <c r="G2" s="7" t="s">
        <v>7</v>
      </c>
      <c r="H2" s="7" t="s">
        <v>6</v>
      </c>
    </row>
    <row r="3" spans="1:9" ht="12.75">
      <c r="A3" s="11" t="s">
        <v>8</v>
      </c>
      <c r="B3" s="29">
        <v>0</v>
      </c>
      <c r="C3" s="12">
        <f>IF(B3&gt;3777,"NA",(OCT2DEC(B3)+1))</f>
        <v>1</v>
      </c>
      <c r="D3" s="6"/>
      <c r="E3" s="6"/>
      <c r="F3" s="13" t="s">
        <v>9</v>
      </c>
      <c r="G3" s="33">
        <v>1</v>
      </c>
      <c r="H3" s="12" t="str">
        <f>IF(G3&gt;=1,IF(G3&lt;=2048,DEC2OCT(G3-1),"NA"),"NA")</f>
        <v>0</v>
      </c>
      <c r="I3" s="14" t="s">
        <v>10</v>
      </c>
    </row>
    <row r="4" spans="1:9" ht="12.75">
      <c r="A4" s="11" t="s">
        <v>11</v>
      </c>
      <c r="B4" s="29">
        <v>0</v>
      </c>
      <c r="C4" s="12">
        <f>IF(B4&gt;1777,"NA",(OCT2DEC(B4)+2049))</f>
        <v>2049</v>
      </c>
      <c r="D4" s="6"/>
      <c r="E4" s="6"/>
      <c r="F4" s="13" t="s">
        <v>12</v>
      </c>
      <c r="G4" s="32">
        <v>2049</v>
      </c>
      <c r="H4" s="12" t="str">
        <f>IF(G4&gt;=2049,IF(G4&lt;=3072,DEC2OCT(G4-2049),"NA"),"NA")</f>
        <v>0</v>
      </c>
      <c r="I4" s="14" t="s">
        <v>13</v>
      </c>
    </row>
    <row r="5" spans="1:9" ht="12.75">
      <c r="A5" s="11" t="s">
        <v>14</v>
      </c>
      <c r="B5" s="29">
        <v>0</v>
      </c>
      <c r="C5" s="12">
        <f>IF(B5&gt;3777,"NA",(OCT2DEC(B5)+3073))</f>
        <v>3073</v>
      </c>
      <c r="D5" s="6"/>
      <c r="E5" s="6"/>
      <c r="F5" s="13" t="s">
        <v>15</v>
      </c>
      <c r="G5" s="32">
        <v>3073</v>
      </c>
      <c r="H5" s="12" t="str">
        <f>IF(G5&gt;=3073,IF(G5&lt;=5120,DEC2OCT(G5-3073),"NA"),"NA")</f>
        <v>0</v>
      </c>
      <c r="I5" s="14" t="s">
        <v>16</v>
      </c>
    </row>
    <row r="6" spans="1:9" ht="12.75">
      <c r="A6" s="11" t="s">
        <v>17</v>
      </c>
      <c r="B6" s="29">
        <v>0</v>
      </c>
      <c r="C6" s="12">
        <f>IF(B6&gt;1777,"NA",(OCT2DEC(B6)+5121))</f>
        <v>5121</v>
      </c>
      <c r="D6" s="6"/>
      <c r="E6" s="6"/>
      <c r="F6" s="13" t="s">
        <v>18</v>
      </c>
      <c r="G6" s="32">
        <v>5121</v>
      </c>
      <c r="H6" s="12" t="str">
        <f>IF(G6&gt;=5121,IF(G6&lt;=6144,DEC2OCT(G6-5121),"NA"),"NA")</f>
        <v>0</v>
      </c>
      <c r="I6" s="14" t="s">
        <v>19</v>
      </c>
    </row>
    <row r="7" spans="1:9" ht="15.75">
      <c r="A7" s="11" t="s">
        <v>20</v>
      </c>
      <c r="B7" s="37">
        <v>0</v>
      </c>
      <c r="C7" s="12">
        <f>IF(B7&gt;377,"NA",(OCT2DEC(B7)+6145))</f>
        <v>6145</v>
      </c>
      <c r="D7" s="6"/>
      <c r="E7" s="6"/>
      <c r="F7" s="13" t="s">
        <v>21</v>
      </c>
      <c r="G7" s="38">
        <v>6145</v>
      </c>
      <c r="H7" s="12" t="str">
        <f>IF(G7&gt;=6145,IF(G7&lt;=6400,DEC2OCT(G7-6145),"NA"),"NA")</f>
        <v>0</v>
      </c>
      <c r="I7" s="14" t="s">
        <v>22</v>
      </c>
    </row>
    <row r="8" spans="1:9" ht="15.75">
      <c r="A8" s="11" t="s">
        <v>23</v>
      </c>
      <c r="B8" s="37">
        <v>0</v>
      </c>
      <c r="C8" s="12">
        <f>IF(B8&gt;377,"NA",(OCT2DEC(B8)+6401))</f>
        <v>6401</v>
      </c>
      <c r="D8" s="6"/>
      <c r="E8" s="6"/>
      <c r="F8" s="13" t="s">
        <v>24</v>
      </c>
      <c r="G8" s="38">
        <v>6401</v>
      </c>
      <c r="H8" s="12" t="str">
        <f>IF(G8&gt;=6401,IF(G8&lt;=6656,DEC2OCT(G8-6401),"NA"),"NA")</f>
        <v>0</v>
      </c>
      <c r="I8" s="14" t="s">
        <v>25</v>
      </c>
    </row>
    <row r="9" spans="1:8" ht="12.75">
      <c r="A9" s="6"/>
      <c r="B9" s="30"/>
      <c r="C9" s="6"/>
      <c r="D9" s="6"/>
      <c r="E9" s="6"/>
      <c r="F9" s="6"/>
      <c r="G9" s="34"/>
      <c r="H9" s="6"/>
    </row>
    <row r="10" spans="1:8" ht="12.75">
      <c r="A10" s="7"/>
      <c r="B10" s="31"/>
      <c r="C10" s="7"/>
      <c r="D10" s="6"/>
      <c r="E10" s="6"/>
      <c r="F10" s="6"/>
      <c r="G10" s="34"/>
      <c r="H10" s="6"/>
    </row>
    <row r="11" spans="1:8" ht="15.75">
      <c r="A11" s="7"/>
      <c r="B11" s="31"/>
      <c r="C11" s="7"/>
      <c r="D11" s="6"/>
      <c r="E11" s="8" t="s">
        <v>26</v>
      </c>
      <c r="F11" s="6"/>
      <c r="G11" s="34"/>
      <c r="H11" s="6"/>
    </row>
    <row r="12" spans="1:9" ht="15.75">
      <c r="A12" s="11" t="s">
        <v>27</v>
      </c>
      <c r="B12" s="38">
        <v>0</v>
      </c>
      <c r="C12" s="12">
        <f>IF(B12&gt;3777,"NA",(OCT2DEC(B12)+10001))</f>
        <v>10001</v>
      </c>
      <c r="D12" s="6"/>
      <c r="E12" s="6"/>
      <c r="F12" s="15" t="s">
        <v>28</v>
      </c>
      <c r="G12" s="38">
        <v>10001</v>
      </c>
      <c r="H12" s="12" t="str">
        <f>IF(G12&gt;=10001,IF(G12&lt;=12048,DEC2OCT(G12-10001),"NA"),"NA")</f>
        <v>0</v>
      </c>
      <c r="I12" s="14" t="s">
        <v>29</v>
      </c>
    </row>
    <row r="13" spans="1:9" ht="15.75">
      <c r="A13" s="11" t="s">
        <v>30</v>
      </c>
      <c r="B13" s="38">
        <v>0</v>
      </c>
      <c r="C13" s="12">
        <f>IF(B13&gt;1777,"NA",(OCT2DEC(B13)+12049))</f>
        <v>12049</v>
      </c>
      <c r="D13" s="6"/>
      <c r="E13" s="6"/>
      <c r="F13" s="15" t="s">
        <v>31</v>
      </c>
      <c r="G13" s="38">
        <v>12049</v>
      </c>
      <c r="H13" s="12" t="str">
        <f>IF(G13&gt;=12049,IF(G13&lt;=13072,DEC2OCT(G13-12049),"NA"),"NA")</f>
        <v>0</v>
      </c>
      <c r="I13" s="14" t="s">
        <v>32</v>
      </c>
    </row>
    <row r="14" spans="1:9" ht="15.75">
      <c r="A14" s="11" t="s">
        <v>33</v>
      </c>
      <c r="B14" s="38">
        <v>0</v>
      </c>
      <c r="C14" s="12">
        <f>IF(B14&gt;777,"NA",(OCT2DEC(B14)+13073))</f>
        <v>13073</v>
      </c>
      <c r="D14" s="6"/>
      <c r="E14" s="6"/>
      <c r="F14" s="15" t="s">
        <v>34</v>
      </c>
      <c r="G14" s="38">
        <v>13073</v>
      </c>
      <c r="H14" s="12" t="str">
        <f>IF(G14&gt;=13073,IF(G14&lt;=13584,DEC2OCT(G14-13073),"NA"),"NA")</f>
        <v>0</v>
      </c>
      <c r="I14" s="14" t="s">
        <v>35</v>
      </c>
    </row>
    <row r="15" spans="1:8" ht="12.75">
      <c r="A15" s="6"/>
      <c r="B15" s="6"/>
      <c r="C15" s="6"/>
      <c r="D15" s="6"/>
      <c r="E15" s="6"/>
      <c r="F15" s="6"/>
      <c r="G15" s="6"/>
      <c r="H15" s="6"/>
    </row>
    <row r="16" spans="1:8" ht="12.75">
      <c r="A16" s="6"/>
      <c r="B16" s="6"/>
      <c r="C16" s="6"/>
      <c r="D16" s="6"/>
      <c r="E16" s="6"/>
      <c r="F16" s="6"/>
      <c r="G16" s="6"/>
      <c r="H16" s="6"/>
    </row>
    <row r="17" spans="1:8" ht="15.75">
      <c r="A17" s="6"/>
      <c r="B17" s="6"/>
      <c r="C17" s="6"/>
      <c r="D17" s="6"/>
      <c r="E17" s="8" t="s">
        <v>36</v>
      </c>
      <c r="F17" s="6"/>
      <c r="G17" s="6"/>
      <c r="H17" s="6"/>
    </row>
    <row r="18" spans="1:8" ht="25.5">
      <c r="A18" s="16"/>
      <c r="B18" s="17" t="s">
        <v>37</v>
      </c>
      <c r="C18" s="18" t="s">
        <v>38</v>
      </c>
      <c r="D18" s="18" t="s">
        <v>39</v>
      </c>
      <c r="E18" s="16"/>
      <c r="F18" s="16"/>
      <c r="G18" s="17" t="s">
        <v>7</v>
      </c>
      <c r="H18" s="17" t="s">
        <v>40</v>
      </c>
    </row>
    <row r="19" spans="1:8" ht="15.75">
      <c r="A19" s="19" t="s">
        <v>40</v>
      </c>
      <c r="B19" s="39">
        <v>0</v>
      </c>
      <c r="C19" s="20">
        <f>IF(B19&gt;41237,"NA",IF((OCT2DEC(B19))&lt;9999,(OCT2DEC(B19))+40001,(OCT2DEC(B19))+400001))</f>
        <v>40001</v>
      </c>
      <c r="D19" s="20">
        <f>IF((OCT2DEC(B19))&lt;9999,(OCT2DEC(B19))+30001,(OCT2DEC(B19))+300001)</f>
        <v>30001</v>
      </c>
      <c r="E19" s="16"/>
      <c r="F19" s="17" t="s">
        <v>38</v>
      </c>
      <c r="G19" s="39">
        <v>40001</v>
      </c>
      <c r="H19" s="20" t="str">
        <f>IF(G19&lt;40001,"NA",IF(G19&gt;417056,"NA",IF(G19&gt;49999,(DEC2OCT(G19-400001)),(DEC2OCT(G19-40001)))))</f>
        <v>0</v>
      </c>
    </row>
    <row r="20" spans="1:8" ht="15.75">
      <c r="A20" s="16"/>
      <c r="B20" s="16"/>
      <c r="C20" s="16"/>
      <c r="D20" s="16"/>
      <c r="E20" s="16"/>
      <c r="F20" s="17" t="s">
        <v>39</v>
      </c>
      <c r="G20" s="39">
        <v>30001</v>
      </c>
      <c r="H20" s="20" t="str">
        <f>IF(G20&lt;30001,"NA",IF(G20&gt;317056,"NA",IF(G20&gt;39999,(DEC2OCT(G20-300001)),(DEC2OCT(G20-30001)))))</f>
        <v>0</v>
      </c>
    </row>
    <row r="22" ht="18">
      <c r="A22" s="36" t="s">
        <v>70</v>
      </c>
    </row>
    <row r="23" ht="18">
      <c r="A23" s="36" t="s">
        <v>68</v>
      </c>
    </row>
    <row r="29" ht="12.75">
      <c r="D29" s="3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6:H22"/>
  <sheetViews>
    <sheetView workbookViewId="0" topLeftCell="A1">
      <selection activeCell="E28" sqref="E28"/>
    </sheetView>
  </sheetViews>
  <sheetFormatPr defaultColWidth="9.140625" defaultRowHeight="12.75"/>
  <cols>
    <col min="1" max="1" width="27.421875" style="0" bestFit="1" customWidth="1"/>
  </cols>
  <sheetData>
    <row r="6" ht="12.75">
      <c r="C6" s="21"/>
    </row>
    <row r="12" spans="2:8" ht="38.25">
      <c r="B12" s="21" t="s">
        <v>41</v>
      </c>
      <c r="C12" s="22" t="s">
        <v>42</v>
      </c>
      <c r="D12" s="22" t="s">
        <v>43</v>
      </c>
      <c r="F12" s="23" t="s">
        <v>44</v>
      </c>
      <c r="G12" s="22" t="s">
        <v>43</v>
      </c>
      <c r="H12" s="21" t="s">
        <v>41</v>
      </c>
    </row>
    <row r="13" spans="1:8" ht="12.75">
      <c r="A13" s="15" t="s">
        <v>45</v>
      </c>
      <c r="B13" s="24">
        <v>0</v>
      </c>
      <c r="C13" s="21" t="str">
        <f>IF(B13&gt;=0,IF(B13&lt;=167,DEC2HEX(D13),"NA"),"NA")</f>
        <v>0</v>
      </c>
      <c r="D13" s="21">
        <f>IF(B13&gt;=0,IF(B13&lt;=167,OCT2DEC(B13),"NA"),"NA")</f>
        <v>0</v>
      </c>
      <c r="F13" s="13" t="s">
        <v>46</v>
      </c>
      <c r="G13" s="25">
        <v>0</v>
      </c>
      <c r="H13" s="21" t="str">
        <f>IF(G13&gt;=0,IF(G13&lt;=119,DEC2OCT(G13),"NA"),"NA")</f>
        <v>0</v>
      </c>
    </row>
    <row r="14" spans="1:8" ht="12.75">
      <c r="A14" s="15" t="s">
        <v>47</v>
      </c>
      <c r="B14" s="24">
        <v>377</v>
      </c>
      <c r="C14" s="21" t="str">
        <f>IF(B14&gt;=170,IF(B14&lt;=377,DEC2HEX(D14),"NA"),"NA")</f>
        <v>FF</v>
      </c>
      <c r="D14" s="21">
        <f>IF(B14&gt;=170,IF(B14&lt;=377,OCT2DEC(B14),"NA"),"NA")</f>
        <v>255</v>
      </c>
      <c r="F14" s="13" t="s">
        <v>48</v>
      </c>
      <c r="G14" s="25">
        <v>120</v>
      </c>
      <c r="H14" s="21" t="str">
        <f>IF(G14&gt;=120,IF(G14&lt;=255,DEC2OCT(G14),"NA"),"NA")</f>
        <v>170</v>
      </c>
    </row>
    <row r="15" spans="1:8" ht="12.75">
      <c r="A15" s="15" t="s">
        <v>49</v>
      </c>
      <c r="B15" s="24">
        <v>400</v>
      </c>
      <c r="C15" s="21" t="str">
        <f>IF(B15&gt;=400,IF(B15&lt;=577,DEC2HEX(D15),"NA"),"NA")</f>
        <v>100</v>
      </c>
      <c r="D15" s="21">
        <f>IF(B15&gt;=400,IF(B15&lt;=577,OCT2DEC(B15),"NA"),"NA")</f>
        <v>256</v>
      </c>
      <c r="F15" s="13" t="s">
        <v>50</v>
      </c>
      <c r="G15" s="25">
        <v>256</v>
      </c>
      <c r="H15" s="21" t="str">
        <f>IF(G15&gt;=256,IF(G15&lt;=383,DEC2OCT(G15),"NA"),"NA")</f>
        <v>400</v>
      </c>
    </row>
    <row r="16" spans="1:8" ht="12.75">
      <c r="A16" s="15" t="s">
        <v>51</v>
      </c>
      <c r="B16" s="24">
        <v>600</v>
      </c>
      <c r="C16" s="21" t="str">
        <f>IF(B16&gt;=600,IF(B16&lt;=677,DEC2HEX(D16),"NA"),"NA")</f>
        <v>180</v>
      </c>
      <c r="D16" s="21">
        <f>IF(B16&gt;=600,IF(B16&lt;=677,OCT2DEC(B16),"NA"),"NA")</f>
        <v>384</v>
      </c>
      <c r="F16" s="13" t="s">
        <v>52</v>
      </c>
      <c r="G16" s="25">
        <v>384</v>
      </c>
      <c r="H16" s="21" t="str">
        <f>IF(G16&gt;=384,IF(G16&lt;=447,DEC2OCT(G16),"NA"),"NA")</f>
        <v>600</v>
      </c>
    </row>
    <row r="17" spans="1:8" ht="12.75">
      <c r="A17" s="15" t="s">
        <v>53</v>
      </c>
      <c r="B17" s="24">
        <v>700</v>
      </c>
      <c r="C17" s="21" t="str">
        <f>IF(B17&gt;=700,IF(B17&lt;=777,DEC2HEX(D17),"NA"),"NA")</f>
        <v>1C0</v>
      </c>
      <c r="D17" s="21">
        <f>IF(B17&gt;=700,IF(B17&lt;=777,OCT2DEC(B17),"NA"),"NA")</f>
        <v>448</v>
      </c>
      <c r="F17" s="13" t="s">
        <v>54</v>
      </c>
      <c r="G17" s="25">
        <v>448</v>
      </c>
      <c r="H17" s="21" t="str">
        <f>IF(G17&gt;=448,IF(G17&lt;=511,DEC2OCT(G17),"NA"),"NA")</f>
        <v>700</v>
      </c>
    </row>
    <row r="18" spans="1:8" ht="12.75">
      <c r="A18" s="15" t="s">
        <v>55</v>
      </c>
      <c r="B18" s="24">
        <v>1077</v>
      </c>
      <c r="C18" s="21" t="str">
        <f>IF(B18&gt;=1000,IF(B18&lt;=1077,DEC2HEX(D18),"NA"),"NA")</f>
        <v>23F</v>
      </c>
      <c r="D18" s="21">
        <f>IF(B18&gt;=1000,IF(B18&lt;=1077,OCT2DEC(B18),"NA"),"NA")</f>
        <v>575</v>
      </c>
      <c r="F18" s="13" t="s">
        <v>56</v>
      </c>
      <c r="G18" s="25">
        <v>512</v>
      </c>
      <c r="H18" s="21" t="str">
        <f>IF(G18&gt;=512,IF(G18&lt;=575,DEC2OCT(G18),"NA"),"NA")</f>
        <v>1000</v>
      </c>
    </row>
    <row r="19" spans="1:8" ht="12.75">
      <c r="A19" s="15"/>
      <c r="B19" s="26"/>
      <c r="C19" s="21"/>
      <c r="D19" s="21"/>
      <c r="F19" s="13"/>
      <c r="G19" s="26"/>
      <c r="H19" s="21"/>
    </row>
    <row r="20" spans="1:8" ht="12.75">
      <c r="A20" s="15" t="s">
        <v>57</v>
      </c>
      <c r="B20" s="25">
        <v>400</v>
      </c>
      <c r="C20" s="21" t="str">
        <f>IF(B20&gt;=400,IF(B20&lt;=577,DEC2HEX(D20),"NA"),"NA")</f>
        <v>40</v>
      </c>
      <c r="D20" s="21">
        <f>IF(B20&gt;=400,IF(B20&lt;=577,((ROUNDDOWN((OCT2DEC(B20-400))/2,0)+64)),"NA"),"NA")</f>
        <v>64</v>
      </c>
      <c r="F20" s="13" t="s">
        <v>58</v>
      </c>
      <c r="G20" s="25">
        <v>64</v>
      </c>
      <c r="H20" s="21">
        <f>IF(G20&gt;=64,IF(G20&lt;=127,(DEC2OCT((G20-64)*2))+400,"NA"),"NA")</f>
        <v>400</v>
      </c>
    </row>
    <row r="21" spans="1:8" ht="12.75">
      <c r="A21" s="15" t="s">
        <v>59</v>
      </c>
      <c r="B21" s="25">
        <v>600</v>
      </c>
      <c r="C21" s="21" t="str">
        <f>IF(B21&gt;=600,IF(B21&lt;=677,DEC2HEX(D21),"NA"),"NA")</f>
        <v>0</v>
      </c>
      <c r="D21" s="21">
        <f>IF(B21&gt;=600,IF(B21&lt;=677,((ROUNDDOWN((OCT2DEC(B21-600))/1,0)+0)),"NA"),"na")</f>
        <v>0</v>
      </c>
      <c r="F21" s="13" t="s">
        <v>60</v>
      </c>
      <c r="G21" s="25">
        <v>0</v>
      </c>
      <c r="H21" s="21">
        <f>IF(G21&gt;=0,IF(G21&lt;=63,(DEC2OCT((G21-0)*1))+600,"NA"),"NA")</f>
        <v>600</v>
      </c>
    </row>
    <row r="22" spans="1:8" ht="12.75">
      <c r="A22" s="15" t="s">
        <v>61</v>
      </c>
      <c r="B22" s="25">
        <v>700</v>
      </c>
      <c r="C22" s="21" t="str">
        <f>IF(B22&gt;=700,IF(B22&lt;=777,DEC2HEX(D22),"NA"),"NA")</f>
        <v>80</v>
      </c>
      <c r="D22" s="21">
        <f>IF(B22&gt;=700,IF(B22&lt;=777,((ROUNDDOWN((OCT2DEC(B22-700))/1,0)+128)),"Over"),"Under")</f>
        <v>128</v>
      </c>
      <c r="F22" s="13" t="s">
        <v>62</v>
      </c>
      <c r="G22" s="25">
        <v>128</v>
      </c>
      <c r="H22" s="21">
        <f>IF(G22&gt;=128,IF(G22&lt;=191,(DEC2OCT((G22-128)*1))+700,"NA"),"NA")</f>
        <v>700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7:B42"/>
  <sheetViews>
    <sheetView workbookViewId="0" topLeftCell="A1">
      <selection activeCell="B47" sqref="B47"/>
    </sheetView>
  </sheetViews>
  <sheetFormatPr defaultColWidth="9.140625" defaultRowHeight="12.75"/>
  <cols>
    <col min="2" max="2" width="99.8515625" style="0" customWidth="1"/>
  </cols>
  <sheetData>
    <row r="37" ht="28.5">
      <c r="B37" s="27" t="s">
        <v>63</v>
      </c>
    </row>
    <row r="39" ht="54">
      <c r="B39" s="27" t="s">
        <v>64</v>
      </c>
    </row>
    <row r="40" ht="12.75">
      <c r="B40" t="s">
        <v>65</v>
      </c>
    </row>
    <row r="41" ht="12.75">
      <c r="B41" s="28" t="s">
        <v>66</v>
      </c>
    </row>
    <row r="42" ht="12.75">
      <c r="B42" t="s">
        <v>67</v>
      </c>
    </row>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automationdirect.com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bperry</cp:lastModifiedBy>
  <dcterms:created xsi:type="dcterms:W3CDTF">2006-05-18T13:29:42Z</dcterms:created>
  <dcterms:modified xsi:type="dcterms:W3CDTF">2008-12-04T21:14:08Z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